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625" windowHeight="11760" tabRatio="601" activeTab="0"/>
  </bookViews>
  <sheets>
    <sheet name="2019大会割当表(主管 南部)" sheetId="1" r:id="rId1"/>
  </sheets>
  <definedNames>
    <definedName name="_xlnm.Print_Area" localSheetId="0">'2019大会割当表(主管 南部)'!$A$1:$M$64</definedName>
  </definedNames>
  <calcPr fullCalcOnLoad="1"/>
</workbook>
</file>

<file path=xl/sharedStrings.xml><?xml version="1.0" encoding="utf-8"?>
<sst xmlns="http://schemas.openxmlformats.org/spreadsheetml/2006/main" count="127" uniqueCount="123">
  <si>
    <t>佐藤　正昭</t>
  </si>
  <si>
    <t>伊東　成子</t>
  </si>
  <si>
    <t>岡田　耕作</t>
  </si>
  <si>
    <t>有賀　正行</t>
  </si>
  <si>
    <t>原口　曻一</t>
  </si>
  <si>
    <t>山嵜　茂子</t>
  </si>
  <si>
    <t>石森　千賀</t>
  </si>
  <si>
    <t>鈴木　敏男</t>
  </si>
  <si>
    <t>樋口　鉄雄</t>
  </si>
  <si>
    <t>並木　秀夫</t>
  </si>
  <si>
    <t>筑肱　金次</t>
  </si>
  <si>
    <t>矢野誠一郎</t>
  </si>
  <si>
    <t>川上トサ子</t>
  </si>
  <si>
    <t>梅村　治良</t>
  </si>
  <si>
    <t>地　区</t>
  </si>
  <si>
    <t>久喜市協会</t>
  </si>
  <si>
    <t>三郷市協会</t>
  </si>
  <si>
    <t>春日部市連盟</t>
  </si>
  <si>
    <t>蓮田市連盟</t>
  </si>
  <si>
    <t>上尾市連盟</t>
  </si>
  <si>
    <t>八潮市協会</t>
  </si>
  <si>
    <t>小川町協会</t>
  </si>
  <si>
    <t>行田市協会</t>
  </si>
  <si>
    <t>本庄市協会</t>
  </si>
  <si>
    <t>杉戸町協会</t>
  </si>
  <si>
    <t>熊谷市協会</t>
  </si>
  <si>
    <t>幸手市協会</t>
  </si>
  <si>
    <t>羽生市協会</t>
  </si>
  <si>
    <t>皆野町協会</t>
  </si>
  <si>
    <t>越谷市連盟</t>
  </si>
  <si>
    <t>草加市協会</t>
  </si>
  <si>
    <t>深谷市協会</t>
  </si>
  <si>
    <t>宮代町協会</t>
  </si>
  <si>
    <t>松伏町愛好会</t>
  </si>
  <si>
    <t>富士見市協会</t>
  </si>
  <si>
    <t>鴻巣市協会</t>
  </si>
  <si>
    <t>飯能市連盟</t>
  </si>
  <si>
    <t>長瀞町協会</t>
  </si>
  <si>
    <t>川越市協会</t>
  </si>
  <si>
    <t>ふじみ野市連盟</t>
  </si>
  <si>
    <t>小鹿野町協会</t>
  </si>
  <si>
    <t>北本市協会</t>
  </si>
  <si>
    <t>秩父市荒川協会</t>
  </si>
  <si>
    <t>吉見町連盟</t>
  </si>
  <si>
    <t>桶川市協会</t>
  </si>
  <si>
    <t>戸田市協会</t>
  </si>
  <si>
    <t>三芳町連盟</t>
  </si>
  <si>
    <t>蕨市協会</t>
  </si>
  <si>
    <t>寄居町協会</t>
  </si>
  <si>
    <t>所沢市連盟</t>
  </si>
  <si>
    <t>鶴ヶ島市連盟</t>
  </si>
  <si>
    <t>入間市協会</t>
  </si>
  <si>
    <t>吉川市連盟</t>
  </si>
  <si>
    <t>伊奈町協会</t>
  </si>
  <si>
    <t>東松山市協会</t>
  </si>
  <si>
    <t>坂戸市協会</t>
  </si>
  <si>
    <t>日高市連盟</t>
  </si>
  <si>
    <t>藤井　範子</t>
  </si>
  <si>
    <t>狭山市協会</t>
  </si>
  <si>
    <t>齋藤　清二</t>
  </si>
  <si>
    <t>黒澤　達男</t>
  </si>
  <si>
    <t>椙本　敦雄</t>
  </si>
  <si>
    <t>塚本　和枝</t>
  </si>
  <si>
    <t>上里町協会</t>
  </si>
  <si>
    <t>鳩山町連盟</t>
  </si>
  <si>
    <t>福西　啓江</t>
  </si>
  <si>
    <t>佐藤　　健</t>
  </si>
  <si>
    <t>岡田　文三</t>
  </si>
  <si>
    <t>神藤　栄治</t>
  </si>
  <si>
    <t>高島　忠之</t>
  </si>
  <si>
    <t>猪上　宣紀</t>
  </si>
  <si>
    <t>服部　珪己</t>
  </si>
  <si>
    <t>渡辺　丑次</t>
  </si>
  <si>
    <t>春原　富守</t>
  </si>
  <si>
    <t>永井　和雄</t>
  </si>
  <si>
    <t>戸張　胤茂</t>
  </si>
  <si>
    <t>東 部　地　区</t>
  </si>
  <si>
    <t>西　部　地　区</t>
  </si>
  <si>
    <t>南　部　地　区</t>
  </si>
  <si>
    <t>北　部　地　区</t>
  </si>
  <si>
    <t>荒木　郷兵</t>
  </si>
  <si>
    <t>さいたま市協会</t>
  </si>
  <si>
    <t>金井　利廣</t>
  </si>
  <si>
    <t>熊井　岩雄</t>
  </si>
  <si>
    <t>会員数</t>
  </si>
  <si>
    <t>登録団体名</t>
  </si>
  <si>
    <t>割当総数</t>
  </si>
  <si>
    <t>団体枠</t>
  </si>
  <si>
    <t>主　幹</t>
  </si>
  <si>
    <t>地区枠</t>
  </si>
  <si>
    <t>４９団体</t>
  </si>
  <si>
    <t>小　計</t>
  </si>
  <si>
    <t>合　計</t>
  </si>
  <si>
    <t>小原　　孝</t>
  </si>
  <si>
    <t>野川　　保</t>
  </si>
  <si>
    <t>渋谷　　攻</t>
  </si>
  <si>
    <t>金井　　清</t>
  </si>
  <si>
    <t>栗原　　清</t>
  </si>
  <si>
    <t>小嶋　　隆</t>
  </si>
  <si>
    <t>山埼　　勉</t>
  </si>
  <si>
    <t>茂木　　仂</t>
  </si>
  <si>
    <t>吉田　　清</t>
  </si>
  <si>
    <t>加須市協会</t>
  </si>
  <si>
    <t>白岡市連盟</t>
  </si>
  <si>
    <t>大武　義男</t>
  </si>
  <si>
    <t>川口市協会</t>
  </si>
  <si>
    <t>三谷　幸正</t>
  </si>
  <si>
    <t>会　長</t>
  </si>
  <si>
    <t>基本割当数</t>
  </si>
  <si>
    <t>２０１９年度　埼玉県グラウンド・ゴルフ協会　大会割当表(主管：南部地区)</t>
  </si>
  <si>
    <r>
      <rPr>
        <sz val="10"/>
        <color indexed="8"/>
        <rFont val="HG丸ｺﾞｼｯｸM-PRO"/>
        <family val="3"/>
      </rPr>
      <t>役員枠</t>
    </r>
    <r>
      <rPr>
        <sz val="8"/>
        <color indexed="8"/>
        <rFont val="HG丸ｺﾞｼｯｸM-PRO"/>
        <family val="3"/>
      </rPr>
      <t xml:space="preserve">         (含評議員)</t>
    </r>
  </si>
  <si>
    <t>（１,３４４人大会、登録数　2018.12.28現在）</t>
  </si>
  <si>
    <t>調 整</t>
  </si>
  <si>
    <t>基本1,344名ー(役員126＋主管地区200名＋主管団体35名＋バス50名)＝933名で基本割当てを作成した</t>
  </si>
  <si>
    <t>主管地区枠200名を南部地区の各団体会員数比で付加した</t>
  </si>
  <si>
    <t>バス等を利用する祭の調整枠として５０名を確保した(利用団体に付加)</t>
  </si>
  <si>
    <r>
      <t>主管地区以外の１団体あたりの最少割当数を３名(含、役員)とした(</t>
    </r>
    <r>
      <rPr>
        <sz val="11"/>
        <color indexed="10"/>
        <rFont val="HG丸ｺﾞｼｯｸM-PRO"/>
        <family val="3"/>
      </rPr>
      <t>赤字</t>
    </r>
    <r>
      <rPr>
        <sz val="11"/>
        <color indexed="8"/>
        <rFont val="HG丸ｺﾞｼｯｸM-PRO"/>
        <family val="3"/>
      </rPr>
      <t>は調整数</t>
    </r>
    <r>
      <rPr>
        <sz val="11"/>
        <color indexed="8"/>
        <rFont val="HG丸ｺﾞｼｯｸM-PRO"/>
        <family val="3"/>
      </rPr>
      <t>)</t>
    </r>
  </si>
  <si>
    <t>主管団体枠として35名を確保した(主管団体のさいたま市に付加)</t>
  </si>
  <si>
    <t>戸澤　虎六</t>
  </si>
  <si>
    <t>泊　　淳雄</t>
  </si>
  <si>
    <t>寺嶋　進勝</t>
  </si>
  <si>
    <t>須藤　当明</t>
  </si>
  <si>
    <t>柳川　政雄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</si>
</sst>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0_ "/>
    <numFmt numFmtId="180" formatCode="0.000000000000_ "/>
    <numFmt numFmtId="181" formatCode="0.00000000000_ "/>
    <numFmt numFmtId="182" formatCode="0.0000000000_ "/>
    <numFmt numFmtId="183" formatCode="0.000000000_ "/>
    <numFmt numFmtId="184" formatCode="0.00000000_ "/>
    <numFmt numFmtId="185" formatCode="0.0000000_ "/>
    <numFmt numFmtId="186" formatCode="0.000000_ "/>
    <numFmt numFmtId="187" formatCode="0.0000_ "/>
    <numFmt numFmtId="188" formatCode="0.0000"/>
    <numFmt numFmtId="189" formatCode="0.00000000"/>
    <numFmt numFmtId="190" formatCode="0.000"/>
    <numFmt numFmtId="191" formatCode="0.0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8"/>
      <name val="ＭＳ Ｐ明朝"/>
      <family val="1"/>
    </font>
    <font>
      <b/>
      <sz val="14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ＭＳ Ｐ明朝"/>
      <family val="1"/>
    </font>
    <font>
      <sz val="10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rgb="FFFF0000"/>
      <name val="HG丸ｺﾞｼｯｸM-PRO"/>
      <family val="3"/>
    </font>
    <font>
      <b/>
      <sz val="12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theme="1"/>
      <name val="ＭＳ Ｐ明朝"/>
      <family val="1"/>
    </font>
    <font>
      <b/>
      <sz val="14"/>
      <color theme="1"/>
      <name val="HG丸ｺﾞｼｯｸM-PRO"/>
      <family val="3"/>
    </font>
    <font>
      <sz val="8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9" tint="0.599960029125213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1" fillId="0" borderId="11" xfId="0" applyFont="1" applyBorder="1" applyAlignment="1">
      <alignment horizontal="center" vertical="center" shrinkToFit="1"/>
    </xf>
    <xf numFmtId="0" fontId="51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1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51" fillId="0" borderId="12" xfId="0" applyFont="1" applyBorder="1" applyAlignment="1">
      <alignment vertical="center" shrinkToFit="1"/>
    </xf>
    <xf numFmtId="0" fontId="51" fillId="0" borderId="0" xfId="0" applyFont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1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52" fillId="0" borderId="0" xfId="0" applyFont="1" applyAlignment="1">
      <alignment vertical="center" shrinkToFit="1"/>
    </xf>
    <xf numFmtId="0" fontId="51" fillId="0" borderId="1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1" fillId="0" borderId="15" xfId="0" applyFont="1" applyBorder="1" applyAlignment="1">
      <alignment vertical="center" shrinkToFit="1"/>
    </xf>
    <xf numFmtId="38" fontId="51" fillId="0" borderId="16" xfId="49" applyFont="1" applyBorder="1" applyAlignment="1">
      <alignment vertical="center" shrinkToFit="1"/>
    </xf>
    <xf numFmtId="0" fontId="51" fillId="0" borderId="16" xfId="0" applyFont="1" applyBorder="1" applyAlignment="1">
      <alignment vertical="center" shrinkToFit="1"/>
    </xf>
    <xf numFmtId="0" fontId="51" fillId="0" borderId="16" xfId="0" applyFont="1" applyBorder="1" applyAlignment="1">
      <alignment horizontal="center" vertical="center" textRotation="255" shrinkToFit="1"/>
    </xf>
    <xf numFmtId="0" fontId="51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38" fontId="51" fillId="0" borderId="16" xfId="49" applyFont="1" applyBorder="1" applyAlignment="1">
      <alignment vertical="center"/>
    </xf>
    <xf numFmtId="0" fontId="51" fillId="0" borderId="0" xfId="0" applyFont="1" applyAlignment="1">
      <alignment horizontal="right" vertical="center" textRotation="255" shrinkToFit="1"/>
    </xf>
    <xf numFmtId="0" fontId="53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left" vertical="center" shrinkToFit="1"/>
    </xf>
    <xf numFmtId="188" fontId="51" fillId="0" borderId="15" xfId="0" applyNumberFormat="1" applyFont="1" applyBorder="1" applyAlignment="1">
      <alignment vertical="center" shrinkToFit="1"/>
    </xf>
    <xf numFmtId="188" fontId="51" fillId="32" borderId="15" xfId="0" applyNumberFormat="1" applyFont="1" applyFill="1" applyBorder="1" applyAlignment="1">
      <alignment vertical="center" shrinkToFit="1"/>
    </xf>
    <xf numFmtId="1" fontId="51" fillId="0" borderId="16" xfId="0" applyNumberFormat="1" applyFont="1" applyBorder="1" applyAlignment="1">
      <alignment vertical="center" shrinkToFit="1"/>
    </xf>
    <xf numFmtId="0" fontId="51" fillId="0" borderId="0" xfId="0" applyFont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1" fillId="0" borderId="0" xfId="0" applyFont="1" applyAlignment="1">
      <alignment horizontal="left" vertical="center" shrinkToFi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1" fillId="0" borderId="19" xfId="0" applyFont="1" applyBorder="1" applyAlignment="1">
      <alignment vertical="center" shrinkToFit="1"/>
    </xf>
    <xf numFmtId="0" fontId="51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1" fillId="0" borderId="22" xfId="0" applyFont="1" applyBorder="1" applyAlignment="1">
      <alignment vertical="center" shrinkToFit="1"/>
    </xf>
    <xf numFmtId="0" fontId="51" fillId="0" borderId="23" xfId="0" applyFont="1" applyBorder="1" applyAlignment="1">
      <alignment vertical="center" shrinkToFit="1"/>
    </xf>
    <xf numFmtId="38" fontId="0" fillId="0" borderId="0" xfId="0" applyNumberFormat="1" applyAlignment="1">
      <alignment vertical="center"/>
    </xf>
    <xf numFmtId="188" fontId="5" fillId="0" borderId="17" xfId="0" applyNumberFormat="1" applyFont="1" applyBorder="1" applyAlignment="1">
      <alignment vertical="center" shrinkToFit="1"/>
    </xf>
    <xf numFmtId="188" fontId="5" fillId="32" borderId="18" xfId="0" applyNumberFormat="1" applyFont="1" applyFill="1" applyBorder="1" applyAlignment="1">
      <alignment vertical="center" shrinkToFit="1"/>
    </xf>
    <xf numFmtId="188" fontId="5" fillId="0" borderId="11" xfId="0" applyNumberFormat="1" applyFont="1" applyBorder="1" applyAlignment="1">
      <alignment vertical="center" shrinkToFit="1"/>
    </xf>
    <xf numFmtId="0" fontId="51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1" fillId="0" borderId="11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1" fillId="0" borderId="13" xfId="0" applyFont="1" applyBorder="1" applyAlignment="1">
      <alignment horizontal="center" vertical="center" shrinkToFit="1"/>
    </xf>
    <xf numFmtId="38" fontId="5" fillId="0" borderId="13" xfId="49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1" fontId="5" fillId="0" borderId="16" xfId="0" applyNumberFormat="1" applyFont="1" applyBorder="1" applyAlignment="1">
      <alignment vertical="center" shrinkToFit="1"/>
    </xf>
    <xf numFmtId="0" fontId="51" fillId="33" borderId="21" xfId="0" applyFont="1" applyFill="1" applyBorder="1" applyAlignment="1">
      <alignment horizontal="center" vertical="center" shrinkToFit="1"/>
    </xf>
    <xf numFmtId="0" fontId="51" fillId="33" borderId="10" xfId="0" applyFont="1" applyFill="1" applyBorder="1" applyAlignment="1">
      <alignment vertical="center" shrinkToFit="1"/>
    </xf>
    <xf numFmtId="0" fontId="5" fillId="33" borderId="26" xfId="0" applyFont="1" applyFill="1" applyBorder="1" applyAlignment="1">
      <alignment vertical="center" shrinkToFit="1"/>
    </xf>
    <xf numFmtId="0" fontId="51" fillId="33" borderId="19" xfId="0" applyFont="1" applyFill="1" applyBorder="1" applyAlignment="1">
      <alignment horizontal="center" vertical="center" shrinkToFit="1"/>
    </xf>
    <xf numFmtId="0" fontId="51" fillId="33" borderId="11" xfId="0" applyFont="1" applyFill="1" applyBorder="1" applyAlignment="1">
      <alignment vertical="center" shrinkToFit="1"/>
    </xf>
    <xf numFmtId="0" fontId="5" fillId="33" borderId="27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vertical="center" shrinkToFit="1"/>
    </xf>
    <xf numFmtId="188" fontId="5" fillId="33" borderId="11" xfId="0" applyNumberFormat="1" applyFont="1" applyFill="1" applyBorder="1" applyAlignment="1">
      <alignment vertical="center" shrinkToFit="1"/>
    </xf>
    <xf numFmtId="38" fontId="5" fillId="33" borderId="11" xfId="49" applyFont="1" applyFill="1" applyBorder="1" applyAlignment="1">
      <alignment vertical="center" shrinkToFit="1"/>
    </xf>
    <xf numFmtId="0" fontId="51" fillId="33" borderId="20" xfId="0" applyFont="1" applyFill="1" applyBorder="1" applyAlignment="1">
      <alignment horizontal="center" vertical="center" shrinkToFit="1"/>
    </xf>
    <xf numFmtId="0" fontId="51" fillId="33" borderId="22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vertical="center" shrinkToFit="1"/>
    </xf>
    <xf numFmtId="0" fontId="5" fillId="33" borderId="28" xfId="0" applyFont="1" applyFill="1" applyBorder="1" applyAlignment="1">
      <alignment vertical="center" shrinkToFit="1"/>
    </xf>
    <xf numFmtId="0" fontId="51" fillId="33" borderId="13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horizontal="center" vertical="center" shrinkToFit="1"/>
    </xf>
    <xf numFmtId="38" fontId="5" fillId="33" borderId="13" xfId="0" applyNumberFormat="1" applyFont="1" applyFill="1" applyBorder="1" applyAlignment="1">
      <alignment vertical="center" shrinkToFit="1"/>
    </xf>
    <xf numFmtId="0" fontId="51" fillId="33" borderId="16" xfId="0" applyFont="1" applyFill="1" applyBorder="1" applyAlignment="1">
      <alignment vertical="center" shrinkToFit="1"/>
    </xf>
    <xf numFmtId="1" fontId="51" fillId="33" borderId="16" xfId="0" applyNumberFormat="1" applyFont="1" applyFill="1" applyBorder="1" applyAlignment="1">
      <alignment vertical="center" shrinkToFit="1"/>
    </xf>
    <xf numFmtId="188" fontId="5" fillId="0" borderId="10" xfId="0" applyNumberFormat="1" applyFont="1" applyBorder="1" applyAlignment="1">
      <alignment vertical="center" shrinkToFit="1"/>
    </xf>
    <xf numFmtId="188" fontId="5" fillId="0" borderId="16" xfId="0" applyNumberFormat="1" applyFont="1" applyBorder="1" applyAlignment="1">
      <alignment vertical="center" shrinkToFit="1"/>
    </xf>
    <xf numFmtId="188" fontId="51" fillId="0" borderId="16" xfId="0" applyNumberFormat="1" applyFont="1" applyBorder="1" applyAlignment="1">
      <alignment vertical="center" shrinkToFit="1"/>
    </xf>
    <xf numFmtId="188" fontId="5" fillId="33" borderId="10" xfId="0" applyNumberFormat="1" applyFont="1" applyFill="1" applyBorder="1" applyAlignment="1">
      <alignment vertical="center" shrinkToFit="1"/>
    </xf>
    <xf numFmtId="188" fontId="5" fillId="33" borderId="18" xfId="0" applyNumberFormat="1" applyFont="1" applyFill="1" applyBorder="1" applyAlignment="1">
      <alignment vertical="center" shrinkToFit="1"/>
    </xf>
    <xf numFmtId="188" fontId="5" fillId="33" borderId="16" xfId="0" applyNumberFormat="1" applyFont="1" applyFill="1" applyBorder="1" applyAlignment="1">
      <alignment vertical="center" shrinkToFit="1"/>
    </xf>
    <xf numFmtId="0" fontId="51" fillId="33" borderId="18" xfId="0" applyFont="1" applyFill="1" applyBorder="1" applyAlignment="1">
      <alignment vertical="center" shrinkToFit="1"/>
    </xf>
    <xf numFmtId="188" fontId="5" fillId="34" borderId="10" xfId="0" applyNumberFormat="1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188" fontId="5" fillId="0" borderId="19" xfId="0" applyNumberFormat="1" applyFont="1" applyBorder="1" applyAlignment="1">
      <alignment vertical="center" shrinkToFit="1"/>
    </xf>
    <xf numFmtId="188" fontId="5" fillId="0" borderId="24" xfId="0" applyNumberFormat="1" applyFont="1" applyBorder="1" applyAlignment="1">
      <alignment vertical="center" shrinkToFit="1"/>
    </xf>
    <xf numFmtId="188" fontId="5" fillId="0" borderId="25" xfId="0" applyNumberFormat="1" applyFont="1" applyBorder="1" applyAlignment="1">
      <alignment vertical="center" shrinkToFit="1"/>
    </xf>
    <xf numFmtId="0" fontId="5" fillId="0" borderId="11" xfId="0" applyFont="1" applyBorder="1" applyAlignment="1">
      <alignment vertical="top" wrapText="1" shrinkToFit="1"/>
    </xf>
    <xf numFmtId="0" fontId="0" fillId="0" borderId="11" xfId="0" applyBorder="1" applyAlignment="1">
      <alignment vertical="top" wrapText="1" shrinkToFit="1"/>
    </xf>
    <xf numFmtId="0" fontId="0" fillId="0" borderId="11" xfId="0" applyBorder="1" applyAlignment="1">
      <alignment vertical="top" wrapText="1" shrinkToFit="1"/>
    </xf>
    <xf numFmtId="188" fontId="5" fillId="34" borderId="11" xfId="0" applyNumberFormat="1" applyFont="1" applyFill="1" applyBorder="1" applyAlignment="1">
      <alignment vertical="center" shrinkToFit="1"/>
    </xf>
    <xf numFmtId="0" fontId="51" fillId="0" borderId="0" xfId="0" applyFont="1" applyAlignment="1">
      <alignment horizontal="left" vertical="center" shrinkToFit="1"/>
    </xf>
    <xf numFmtId="38" fontId="5" fillId="33" borderId="10" xfId="49" applyFont="1" applyFill="1" applyBorder="1" applyAlignment="1">
      <alignment vertical="center" shrinkToFit="1"/>
    </xf>
    <xf numFmtId="0" fontId="53" fillId="33" borderId="18" xfId="0" applyFont="1" applyFill="1" applyBorder="1" applyAlignment="1">
      <alignment vertical="center" shrinkToFit="1"/>
    </xf>
    <xf numFmtId="188" fontId="5" fillId="33" borderId="29" xfId="0" applyNumberFormat="1" applyFont="1" applyFill="1" applyBorder="1" applyAlignment="1">
      <alignment vertical="center" shrinkToFit="1"/>
    </xf>
    <xf numFmtId="0" fontId="51" fillId="33" borderId="30" xfId="0" applyFont="1" applyFill="1" applyBorder="1" applyAlignment="1">
      <alignment vertical="center" shrinkToFit="1"/>
    </xf>
    <xf numFmtId="188" fontId="5" fillId="33" borderId="15" xfId="0" applyNumberFormat="1" applyFont="1" applyFill="1" applyBorder="1" applyAlignment="1">
      <alignment vertical="center" shrinkToFit="1"/>
    </xf>
    <xf numFmtId="0" fontId="53" fillId="33" borderId="11" xfId="0" applyFont="1" applyFill="1" applyBorder="1" applyAlignment="1">
      <alignment vertical="center" shrinkToFit="1"/>
    </xf>
    <xf numFmtId="0" fontId="54" fillId="33" borderId="10" xfId="0" applyFont="1" applyFill="1" applyBorder="1" applyAlignment="1">
      <alignment vertical="center" shrinkToFit="1"/>
    </xf>
    <xf numFmtId="38" fontId="55" fillId="0" borderId="16" xfId="49" applyFont="1" applyBorder="1" applyAlignment="1">
      <alignment vertical="center"/>
    </xf>
    <xf numFmtId="0" fontId="55" fillId="0" borderId="10" xfId="0" applyFont="1" applyBorder="1" applyAlignment="1">
      <alignment vertical="center" shrinkToFit="1"/>
    </xf>
    <xf numFmtId="0" fontId="55" fillId="0" borderId="11" xfId="0" applyFont="1" applyBorder="1" applyAlignment="1">
      <alignment vertical="center" shrinkToFit="1"/>
    </xf>
    <xf numFmtId="0" fontId="55" fillId="0" borderId="12" xfId="0" applyFont="1" applyBorder="1" applyAlignment="1">
      <alignment vertical="center" shrinkToFit="1"/>
    </xf>
    <xf numFmtId="0" fontId="55" fillId="0" borderId="13" xfId="0" applyFont="1" applyBorder="1" applyAlignment="1">
      <alignment vertical="center" shrinkToFit="1"/>
    </xf>
    <xf numFmtId="0" fontId="55" fillId="0" borderId="16" xfId="0" applyFont="1" applyBorder="1" applyAlignment="1">
      <alignment vertical="center" shrinkToFit="1"/>
    </xf>
    <xf numFmtId="0" fontId="55" fillId="33" borderId="10" xfId="0" applyFont="1" applyFill="1" applyBorder="1" applyAlignment="1">
      <alignment vertical="center" shrinkToFit="1"/>
    </xf>
    <xf numFmtId="0" fontId="55" fillId="33" borderId="11" xfId="0" applyFont="1" applyFill="1" applyBorder="1" applyAlignment="1">
      <alignment vertical="center" shrinkToFit="1"/>
    </xf>
    <xf numFmtId="0" fontId="55" fillId="33" borderId="18" xfId="0" applyFont="1" applyFill="1" applyBorder="1" applyAlignment="1">
      <alignment vertical="center" shrinkToFit="1"/>
    </xf>
    <xf numFmtId="0" fontId="55" fillId="33" borderId="13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10" fillId="0" borderId="31" xfId="0" applyFont="1" applyBorder="1" applyAlignment="1">
      <alignment vertical="center" shrinkToFit="1"/>
    </xf>
    <xf numFmtId="0" fontId="10" fillId="0" borderId="32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56" fillId="0" borderId="16" xfId="0" applyFont="1" applyBorder="1" applyAlignment="1">
      <alignment vertical="center" shrinkToFit="1"/>
    </xf>
    <xf numFmtId="0" fontId="10" fillId="33" borderId="10" xfId="0" applyFont="1" applyFill="1" applyBorder="1" applyAlignment="1">
      <alignment vertical="center" shrinkToFit="1"/>
    </xf>
    <xf numFmtId="0" fontId="10" fillId="33" borderId="11" xfId="0" applyFont="1" applyFill="1" applyBorder="1" applyAlignment="1">
      <alignment vertical="center" shrinkToFit="1"/>
    </xf>
    <xf numFmtId="0" fontId="10" fillId="33" borderId="12" xfId="0" applyFont="1" applyFill="1" applyBorder="1" applyAlignment="1">
      <alignment vertical="center" shrinkToFit="1"/>
    </xf>
    <xf numFmtId="0" fontId="10" fillId="33" borderId="16" xfId="0" applyFont="1" applyFill="1" applyBorder="1" applyAlignment="1">
      <alignment vertical="center" shrinkToFit="1"/>
    </xf>
    <xf numFmtId="38" fontId="57" fillId="0" borderId="16" xfId="49" applyFont="1" applyBorder="1" applyAlignment="1">
      <alignment vertical="center"/>
    </xf>
    <xf numFmtId="0" fontId="57" fillId="0" borderId="0" xfId="0" applyFont="1" applyAlignment="1">
      <alignment horizontal="left" vertical="center" shrinkToFit="1"/>
    </xf>
    <xf numFmtId="0" fontId="58" fillId="0" borderId="0" xfId="0" applyFont="1" applyAlignment="1">
      <alignment vertical="center" shrinkToFit="1"/>
    </xf>
    <xf numFmtId="0" fontId="46" fillId="0" borderId="0" xfId="0" applyFont="1" applyAlignment="1">
      <alignment vertical="center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 shrinkToFit="1"/>
    </xf>
    <xf numFmtId="0" fontId="51" fillId="0" borderId="17" xfId="0" applyFont="1" applyBorder="1" applyAlignment="1">
      <alignment horizontal="center" vertical="center" textRotation="255" shrinkToFit="1"/>
    </xf>
    <xf numFmtId="0" fontId="51" fillId="0" borderId="13" xfId="0" applyFont="1" applyBorder="1" applyAlignment="1">
      <alignment horizontal="center" vertical="center" textRotation="255" shrinkToFit="1"/>
    </xf>
    <xf numFmtId="0" fontId="51" fillId="0" borderId="18" xfId="0" applyFont="1" applyBorder="1" applyAlignment="1">
      <alignment horizontal="center" vertical="center" textRotation="255" shrinkToFit="1"/>
    </xf>
    <xf numFmtId="0" fontId="51" fillId="0" borderId="16" xfId="0" applyFont="1" applyBorder="1" applyAlignment="1">
      <alignment horizontal="distributed" vertical="center"/>
    </xf>
    <xf numFmtId="0" fontId="51" fillId="0" borderId="35" xfId="0" applyFont="1" applyBorder="1" applyAlignment="1">
      <alignment horizontal="left" vertical="center" shrinkToFit="1"/>
    </xf>
    <xf numFmtId="0" fontId="51" fillId="0" borderId="24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1" fillId="0" borderId="28" xfId="0" applyFont="1" applyBorder="1" applyAlignment="1">
      <alignment horizontal="right" vertical="center"/>
    </xf>
    <xf numFmtId="0" fontId="51" fillId="0" borderId="36" xfId="0" applyFont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textRotation="255" shrinkToFit="1"/>
    </xf>
    <xf numFmtId="0" fontId="51" fillId="33" borderId="13" xfId="0" applyFont="1" applyFill="1" applyBorder="1" applyAlignment="1">
      <alignment horizontal="center" vertical="center" textRotation="255" shrinkToFit="1"/>
    </xf>
    <xf numFmtId="0" fontId="51" fillId="33" borderId="18" xfId="0" applyFont="1" applyFill="1" applyBorder="1" applyAlignment="1">
      <alignment horizontal="center" vertical="center" textRotation="255" shrinkToFi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SheetLayoutView="100" zoomScalePageLayoutView="0" workbookViewId="0" topLeftCell="A40">
      <selection activeCell="B59" sqref="B59:M59"/>
    </sheetView>
  </sheetViews>
  <sheetFormatPr defaultColWidth="9.140625" defaultRowHeight="15"/>
  <cols>
    <col min="1" max="1" width="7.57421875" style="0" customWidth="1"/>
    <col min="2" max="2" width="5.57421875" style="0" customWidth="1"/>
    <col min="3" max="3" width="16.140625" style="0" customWidth="1"/>
    <col min="4" max="4" width="12.140625" style="0" customWidth="1"/>
    <col min="5" max="5" width="9.140625" style="0" customWidth="1"/>
    <col min="6" max="6" width="9.421875" style="0" customWidth="1"/>
    <col min="7" max="7" width="12.8515625" style="0" hidden="1" customWidth="1"/>
    <col min="8" max="8" width="7.57421875" style="0" customWidth="1"/>
    <col min="9" max="9" width="7.57421875" style="116" customWidth="1"/>
    <col min="10" max="10" width="7.57421875" style="0" customWidth="1"/>
    <col min="11" max="11" width="0.9921875" style="0" hidden="1" customWidth="1"/>
    <col min="12" max="12" width="7.57421875" style="0" customWidth="1"/>
    <col min="13" max="13" width="11.28125" style="134" customWidth="1"/>
    <col min="15" max="15" width="3.140625" style="0" customWidth="1"/>
    <col min="16" max="16" width="3.28125" style="0" customWidth="1"/>
  </cols>
  <sheetData>
    <row r="1" spans="1:13" ht="21" customHeight="1">
      <c r="A1" s="147" t="s">
        <v>109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3.5">
      <c r="A2" s="148" t="s">
        <v>111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3.5" customHeight="1">
      <c r="A3" s="142" t="s">
        <v>14</v>
      </c>
      <c r="B3" s="143"/>
      <c r="C3" s="140" t="s">
        <v>85</v>
      </c>
      <c r="D3" s="140" t="s">
        <v>107</v>
      </c>
      <c r="E3" s="149" t="s">
        <v>84</v>
      </c>
      <c r="F3" s="146" t="s">
        <v>108</v>
      </c>
      <c r="G3" s="155"/>
      <c r="H3" s="153" t="s">
        <v>110</v>
      </c>
      <c r="I3" s="135" t="s">
        <v>112</v>
      </c>
      <c r="J3" s="38" t="s">
        <v>88</v>
      </c>
      <c r="K3" s="38"/>
      <c r="L3" s="38" t="s">
        <v>88</v>
      </c>
      <c r="M3" s="157" t="s">
        <v>86</v>
      </c>
    </row>
    <row r="4" spans="1:13" ht="13.5" customHeight="1">
      <c r="A4" s="144"/>
      <c r="B4" s="145"/>
      <c r="C4" s="140"/>
      <c r="D4" s="140"/>
      <c r="E4" s="149"/>
      <c r="F4" s="146"/>
      <c r="G4" s="156"/>
      <c r="H4" s="154"/>
      <c r="I4" s="135"/>
      <c r="J4" s="39" t="s">
        <v>89</v>
      </c>
      <c r="K4" s="39"/>
      <c r="L4" s="39" t="s">
        <v>87</v>
      </c>
      <c r="M4" s="158"/>
    </row>
    <row r="5" spans="1:13" ht="15" customHeight="1">
      <c r="A5" s="137" t="s">
        <v>76</v>
      </c>
      <c r="B5" s="51">
        <v>1</v>
      </c>
      <c r="C5" s="3" t="s">
        <v>15</v>
      </c>
      <c r="D5" s="4" t="s">
        <v>13</v>
      </c>
      <c r="E5" s="44">
        <v>334</v>
      </c>
      <c r="F5" s="4">
        <v>29</v>
      </c>
      <c r="G5" s="82">
        <f>929/10844*334</f>
        <v>28.613611213574327</v>
      </c>
      <c r="H5" s="52">
        <v>4</v>
      </c>
      <c r="I5" s="107"/>
      <c r="J5" s="53"/>
      <c r="K5" s="92"/>
      <c r="L5" s="52"/>
      <c r="M5" s="117">
        <f>F5+H5+I5+J5</f>
        <v>33</v>
      </c>
    </row>
    <row r="6" spans="1:13" ht="15" customHeight="1">
      <c r="A6" s="138"/>
      <c r="B6" s="54">
        <v>2</v>
      </c>
      <c r="C6" s="6" t="s">
        <v>16</v>
      </c>
      <c r="D6" s="7" t="s">
        <v>12</v>
      </c>
      <c r="E6" s="41">
        <v>151</v>
      </c>
      <c r="F6" s="7">
        <v>13</v>
      </c>
      <c r="G6" s="82">
        <f>929/10844*151</f>
        <v>12.936093692364441</v>
      </c>
      <c r="H6" s="7">
        <v>1</v>
      </c>
      <c r="I6" s="108"/>
      <c r="J6" s="41"/>
      <c r="K6" s="91"/>
      <c r="L6" s="7"/>
      <c r="M6" s="118">
        <f>F6+H6+I6+J6</f>
        <v>14</v>
      </c>
    </row>
    <row r="7" spans="1:13" ht="15" customHeight="1">
      <c r="A7" s="138"/>
      <c r="B7" s="54">
        <v>3</v>
      </c>
      <c r="C7" s="6" t="s">
        <v>17</v>
      </c>
      <c r="D7" s="7" t="s">
        <v>118</v>
      </c>
      <c r="E7" s="41">
        <v>268</v>
      </c>
      <c r="F7" s="7">
        <v>23</v>
      </c>
      <c r="G7" s="82">
        <f>929/10844*268</f>
        <v>22.959424566580598</v>
      </c>
      <c r="H7" s="7">
        <v>3</v>
      </c>
      <c r="I7" s="108"/>
      <c r="J7" s="41"/>
      <c r="K7" s="91"/>
      <c r="L7" s="7"/>
      <c r="M7" s="119">
        <f>F7+H7+I7+J7</f>
        <v>26</v>
      </c>
    </row>
    <row r="8" spans="1:13" ht="15" customHeight="1">
      <c r="A8" s="138"/>
      <c r="B8" s="54">
        <v>4</v>
      </c>
      <c r="C8" s="6" t="s">
        <v>18</v>
      </c>
      <c r="D8" s="7" t="s">
        <v>11</v>
      </c>
      <c r="E8" s="41">
        <v>47</v>
      </c>
      <c r="F8" s="7">
        <v>4</v>
      </c>
      <c r="G8" s="82">
        <f>929/10844*47</f>
        <v>4.026466248616747</v>
      </c>
      <c r="H8" s="7">
        <v>1</v>
      </c>
      <c r="I8" s="108"/>
      <c r="J8" s="41"/>
      <c r="K8" s="91"/>
      <c r="L8" s="7"/>
      <c r="M8" s="119">
        <f aca="true" t="shared" si="0" ref="M8:M19">F8+H8+I8+J8</f>
        <v>5</v>
      </c>
    </row>
    <row r="9" spans="1:13" ht="15" customHeight="1">
      <c r="A9" s="138"/>
      <c r="B9" s="54">
        <v>5</v>
      </c>
      <c r="C9" s="6" t="s">
        <v>20</v>
      </c>
      <c r="D9" s="7" t="s">
        <v>120</v>
      </c>
      <c r="E9" s="41">
        <v>43</v>
      </c>
      <c r="F9" s="7">
        <v>4</v>
      </c>
      <c r="G9" s="82">
        <f>929/10844*43</f>
        <v>3.683788270011066</v>
      </c>
      <c r="H9" s="7">
        <v>1</v>
      </c>
      <c r="I9" s="108"/>
      <c r="J9" s="41"/>
      <c r="K9" s="91"/>
      <c r="L9" s="7"/>
      <c r="M9" s="119">
        <f t="shared" si="0"/>
        <v>5</v>
      </c>
    </row>
    <row r="10" spans="1:13" ht="15" customHeight="1">
      <c r="A10" s="138"/>
      <c r="B10" s="54">
        <v>6</v>
      </c>
      <c r="C10" s="6" t="s">
        <v>22</v>
      </c>
      <c r="D10" s="7" t="s">
        <v>10</v>
      </c>
      <c r="E10" s="41">
        <v>336</v>
      </c>
      <c r="F10" s="7">
        <v>29</v>
      </c>
      <c r="G10" s="82">
        <f>929/10844*336</f>
        <v>28.784950202877166</v>
      </c>
      <c r="H10" s="7">
        <v>1</v>
      </c>
      <c r="I10" s="108"/>
      <c r="J10" s="41"/>
      <c r="K10" s="91"/>
      <c r="L10" s="94"/>
      <c r="M10" s="119">
        <f t="shared" si="0"/>
        <v>30</v>
      </c>
    </row>
    <row r="11" spans="1:13" ht="15" customHeight="1">
      <c r="A11" s="138"/>
      <c r="B11" s="54">
        <v>7</v>
      </c>
      <c r="C11" s="6" t="s">
        <v>24</v>
      </c>
      <c r="D11" s="6" t="s">
        <v>93</v>
      </c>
      <c r="E11" s="42">
        <v>509</v>
      </c>
      <c r="F11" s="6">
        <v>44</v>
      </c>
      <c r="G11" s="82">
        <f>929/10844*509</f>
        <v>43.60577277757285</v>
      </c>
      <c r="H11" s="7">
        <v>6</v>
      </c>
      <c r="I11" s="108"/>
      <c r="J11" s="41"/>
      <c r="K11" s="91"/>
      <c r="L11" s="95"/>
      <c r="M11" s="119">
        <f t="shared" si="0"/>
        <v>50</v>
      </c>
    </row>
    <row r="12" spans="1:13" ht="15" customHeight="1">
      <c r="A12" s="138"/>
      <c r="B12" s="54">
        <v>8</v>
      </c>
      <c r="C12" s="6" t="s">
        <v>102</v>
      </c>
      <c r="D12" s="7" t="s">
        <v>9</v>
      </c>
      <c r="E12" s="41">
        <v>568</v>
      </c>
      <c r="F12" s="7">
        <v>49</v>
      </c>
      <c r="G12" s="82">
        <f>929/10844*568</f>
        <v>48.66027296200664</v>
      </c>
      <c r="H12" s="7">
        <v>5</v>
      </c>
      <c r="I12" s="108"/>
      <c r="J12" s="41"/>
      <c r="K12" s="91"/>
      <c r="L12" s="95"/>
      <c r="M12" s="119">
        <f t="shared" si="0"/>
        <v>54</v>
      </c>
    </row>
    <row r="13" spans="1:13" ht="15" customHeight="1">
      <c r="A13" s="138"/>
      <c r="B13" s="54">
        <v>9</v>
      </c>
      <c r="C13" s="7" t="s">
        <v>26</v>
      </c>
      <c r="D13" s="7" t="s">
        <v>94</v>
      </c>
      <c r="E13" s="41">
        <v>476</v>
      </c>
      <c r="F13" s="7">
        <v>41</v>
      </c>
      <c r="G13" s="82">
        <f>929/10844*476</f>
        <v>40.778679454075984</v>
      </c>
      <c r="H13" s="7">
        <v>6</v>
      </c>
      <c r="I13" s="108"/>
      <c r="J13" s="41"/>
      <c r="K13" s="91"/>
      <c r="L13" s="95"/>
      <c r="M13" s="119">
        <f t="shared" si="0"/>
        <v>47</v>
      </c>
    </row>
    <row r="14" spans="1:13" ht="15" customHeight="1">
      <c r="A14" s="138"/>
      <c r="B14" s="54">
        <v>10</v>
      </c>
      <c r="C14" s="7" t="s">
        <v>27</v>
      </c>
      <c r="D14" s="7" t="s">
        <v>67</v>
      </c>
      <c r="E14" s="41">
        <v>304</v>
      </c>
      <c r="F14" s="7">
        <v>26</v>
      </c>
      <c r="G14" s="82">
        <f>929/10844*304</f>
        <v>26.04352637403172</v>
      </c>
      <c r="H14" s="7">
        <v>2</v>
      </c>
      <c r="I14" s="108"/>
      <c r="J14" s="41"/>
      <c r="K14" s="91"/>
      <c r="L14" s="95"/>
      <c r="M14" s="119">
        <f t="shared" si="0"/>
        <v>28</v>
      </c>
    </row>
    <row r="15" spans="1:13" ht="15" customHeight="1">
      <c r="A15" s="138"/>
      <c r="B15" s="54">
        <v>11</v>
      </c>
      <c r="C15" s="7" t="s">
        <v>29</v>
      </c>
      <c r="D15" s="7" t="s">
        <v>104</v>
      </c>
      <c r="E15" s="41">
        <v>472</v>
      </c>
      <c r="F15" s="7">
        <v>40</v>
      </c>
      <c r="G15" s="82">
        <f>929/10844*472</f>
        <v>40.436001475470306</v>
      </c>
      <c r="H15" s="7">
        <v>2</v>
      </c>
      <c r="I15" s="108"/>
      <c r="J15" s="41"/>
      <c r="K15" s="91"/>
      <c r="L15" s="95"/>
      <c r="M15" s="119">
        <f t="shared" si="0"/>
        <v>42</v>
      </c>
    </row>
    <row r="16" spans="1:13" ht="15" customHeight="1">
      <c r="A16" s="138"/>
      <c r="B16" s="54">
        <v>12</v>
      </c>
      <c r="C16" s="7" t="s">
        <v>103</v>
      </c>
      <c r="D16" s="7" t="s">
        <v>119</v>
      </c>
      <c r="E16" s="41">
        <v>121</v>
      </c>
      <c r="F16" s="7">
        <v>10</v>
      </c>
      <c r="G16" s="82">
        <f>929/10844*121</f>
        <v>10.366008852821837</v>
      </c>
      <c r="H16" s="7">
        <v>2</v>
      </c>
      <c r="I16" s="108"/>
      <c r="J16" s="41"/>
      <c r="K16" s="91"/>
      <c r="L16" s="96"/>
      <c r="M16" s="119">
        <f t="shared" si="0"/>
        <v>12</v>
      </c>
    </row>
    <row r="17" spans="1:13" ht="15" customHeight="1">
      <c r="A17" s="138"/>
      <c r="B17" s="54">
        <v>13</v>
      </c>
      <c r="C17" s="7" t="s">
        <v>32</v>
      </c>
      <c r="D17" s="7" t="s">
        <v>95</v>
      </c>
      <c r="E17" s="41">
        <v>70</v>
      </c>
      <c r="F17" s="7">
        <v>6</v>
      </c>
      <c r="G17" s="82">
        <f>929/10844*70</f>
        <v>5.99686462559941</v>
      </c>
      <c r="H17" s="7">
        <v>1</v>
      </c>
      <c r="I17" s="108"/>
      <c r="J17" s="41"/>
      <c r="K17" s="91"/>
      <c r="L17" s="7"/>
      <c r="M17" s="119">
        <f t="shared" si="0"/>
        <v>7</v>
      </c>
    </row>
    <row r="18" spans="1:13" ht="15" customHeight="1">
      <c r="A18" s="138"/>
      <c r="B18" s="54">
        <v>14</v>
      </c>
      <c r="C18" s="7" t="s">
        <v>33</v>
      </c>
      <c r="D18" s="7" t="s">
        <v>70</v>
      </c>
      <c r="E18" s="41">
        <v>62</v>
      </c>
      <c r="F18" s="7">
        <v>5</v>
      </c>
      <c r="G18" s="82">
        <f>929/10844*62</f>
        <v>5.311508668388049</v>
      </c>
      <c r="H18" s="7">
        <v>1</v>
      </c>
      <c r="I18" s="108"/>
      <c r="J18" s="41"/>
      <c r="K18" s="91"/>
      <c r="L18" s="7"/>
      <c r="M18" s="120">
        <f t="shared" si="0"/>
        <v>6</v>
      </c>
    </row>
    <row r="19" spans="1:13" ht="15" customHeight="1">
      <c r="A19" s="138"/>
      <c r="B19" s="55">
        <v>15</v>
      </c>
      <c r="C19" s="56" t="s">
        <v>52</v>
      </c>
      <c r="D19" s="56" t="s">
        <v>75</v>
      </c>
      <c r="E19" s="57">
        <v>32</v>
      </c>
      <c r="F19" s="56">
        <v>3</v>
      </c>
      <c r="G19" s="82">
        <f>929/10844*32</f>
        <v>2.7414238288454444</v>
      </c>
      <c r="H19" s="40">
        <v>1</v>
      </c>
      <c r="I19" s="109"/>
      <c r="J19" s="58"/>
      <c r="K19" s="93"/>
      <c r="L19" s="40"/>
      <c r="M19" s="121">
        <f t="shared" si="0"/>
        <v>4</v>
      </c>
    </row>
    <row r="20" spans="1:13" ht="15" customHeight="1">
      <c r="A20" s="139"/>
      <c r="B20" s="59"/>
      <c r="C20" s="13"/>
      <c r="D20" s="36" t="s">
        <v>91</v>
      </c>
      <c r="E20" s="60">
        <f aca="true" t="shared" si="1" ref="E20:K20">SUM(E5:E19)</f>
        <v>3793</v>
      </c>
      <c r="F20" s="13">
        <f t="shared" si="1"/>
        <v>326</v>
      </c>
      <c r="G20" s="83">
        <f t="shared" si="1"/>
        <v>324.94439321283653</v>
      </c>
      <c r="H20" s="13">
        <f t="shared" si="1"/>
        <v>37</v>
      </c>
      <c r="I20" s="110">
        <v>0</v>
      </c>
      <c r="J20" s="61">
        <f t="shared" si="1"/>
        <v>0</v>
      </c>
      <c r="K20" s="62">
        <f t="shared" si="1"/>
        <v>0</v>
      </c>
      <c r="L20" s="13">
        <v>0</v>
      </c>
      <c r="M20" s="122">
        <f>SUM(M5:M19)</f>
        <v>363</v>
      </c>
    </row>
    <row r="21" spans="1:13" ht="15" customHeight="1">
      <c r="A21" s="137" t="s">
        <v>77</v>
      </c>
      <c r="B21" s="2">
        <v>1</v>
      </c>
      <c r="C21" s="3" t="s">
        <v>58</v>
      </c>
      <c r="D21" s="4" t="s">
        <v>59</v>
      </c>
      <c r="E21" s="4">
        <v>51</v>
      </c>
      <c r="F21" s="4">
        <v>4</v>
      </c>
      <c r="G21" s="82">
        <f>929/10844*51</f>
        <v>4.369144227222427</v>
      </c>
      <c r="H21" s="4">
        <v>2</v>
      </c>
      <c r="I21" s="107"/>
      <c r="J21" s="44"/>
      <c r="K21" s="48"/>
      <c r="L21" s="4"/>
      <c r="M21" s="123">
        <f>F21+H21+I21+J21</f>
        <v>6</v>
      </c>
    </row>
    <row r="22" spans="1:13" ht="15" customHeight="1">
      <c r="A22" s="138"/>
      <c r="B22" s="5">
        <v>2</v>
      </c>
      <c r="C22" s="6" t="s">
        <v>21</v>
      </c>
      <c r="D22" s="7" t="s">
        <v>83</v>
      </c>
      <c r="E22" s="7">
        <v>35</v>
      </c>
      <c r="F22" s="7">
        <v>3</v>
      </c>
      <c r="G22" s="82">
        <f>929/10844*35</f>
        <v>2.998432312799705</v>
      </c>
      <c r="H22" s="7">
        <v>2</v>
      </c>
      <c r="I22" s="108"/>
      <c r="J22" s="41"/>
      <c r="K22" s="50"/>
      <c r="L22" s="7"/>
      <c r="M22" s="124">
        <f aca="true" t="shared" si="2" ref="M22:M46">F22+H22+I22+J22</f>
        <v>5</v>
      </c>
    </row>
    <row r="23" spans="1:13" ht="15" customHeight="1">
      <c r="A23" s="138"/>
      <c r="B23" s="5">
        <v>3</v>
      </c>
      <c r="C23" s="7" t="s">
        <v>34</v>
      </c>
      <c r="D23" s="7" t="s">
        <v>96</v>
      </c>
      <c r="E23" s="7">
        <v>10</v>
      </c>
      <c r="F23" s="7">
        <v>1</v>
      </c>
      <c r="G23" s="82">
        <f>929/10844*10</f>
        <v>0.8566949465142014</v>
      </c>
      <c r="H23" s="7">
        <v>1</v>
      </c>
      <c r="I23" s="108">
        <v>1</v>
      </c>
      <c r="J23" s="41"/>
      <c r="K23" s="50"/>
      <c r="L23" s="7"/>
      <c r="M23" s="124">
        <f t="shared" si="2"/>
        <v>3</v>
      </c>
    </row>
    <row r="24" spans="1:13" ht="15" customHeight="1">
      <c r="A24" s="138"/>
      <c r="B24" s="5">
        <v>4</v>
      </c>
      <c r="C24" s="7" t="s">
        <v>36</v>
      </c>
      <c r="D24" s="7" t="s">
        <v>6</v>
      </c>
      <c r="E24" s="7">
        <v>76</v>
      </c>
      <c r="F24" s="7">
        <v>6</v>
      </c>
      <c r="G24" s="89">
        <f>929/10844*76</f>
        <v>6.51088159350793</v>
      </c>
      <c r="H24" s="7">
        <v>2</v>
      </c>
      <c r="I24" s="108"/>
      <c r="J24" s="41"/>
      <c r="K24" s="50"/>
      <c r="L24" s="7"/>
      <c r="M24" s="124">
        <f t="shared" si="2"/>
        <v>8</v>
      </c>
    </row>
    <row r="25" spans="1:13" ht="15" customHeight="1">
      <c r="A25" s="138"/>
      <c r="B25" s="5">
        <v>5</v>
      </c>
      <c r="C25" s="7" t="s">
        <v>38</v>
      </c>
      <c r="D25" s="7" t="s">
        <v>68</v>
      </c>
      <c r="E25" s="7">
        <v>961</v>
      </c>
      <c r="F25" s="7">
        <v>82</v>
      </c>
      <c r="G25" s="82">
        <f>929/10844*961</f>
        <v>82.32838436001475</v>
      </c>
      <c r="H25" s="7">
        <v>10</v>
      </c>
      <c r="I25" s="108"/>
      <c r="J25" s="41"/>
      <c r="K25" s="50"/>
      <c r="L25" s="7"/>
      <c r="M25" s="124">
        <f t="shared" si="2"/>
        <v>92</v>
      </c>
    </row>
    <row r="26" spans="1:13" ht="15" customHeight="1">
      <c r="A26" s="138"/>
      <c r="B26" s="5">
        <v>6</v>
      </c>
      <c r="C26" s="7" t="s">
        <v>39</v>
      </c>
      <c r="D26" s="7" t="s">
        <v>72</v>
      </c>
      <c r="E26" s="7">
        <v>44</v>
      </c>
      <c r="F26" s="7">
        <v>4</v>
      </c>
      <c r="G26" s="82">
        <f>929/10844*44</f>
        <v>3.7694577646624863</v>
      </c>
      <c r="H26" s="7">
        <v>1</v>
      </c>
      <c r="I26" s="108"/>
      <c r="J26" s="41"/>
      <c r="K26" s="50"/>
      <c r="L26" s="7"/>
      <c r="M26" s="124">
        <f t="shared" si="2"/>
        <v>5</v>
      </c>
    </row>
    <row r="27" spans="1:13" ht="15" customHeight="1">
      <c r="A27" s="138"/>
      <c r="B27" s="5">
        <v>7</v>
      </c>
      <c r="C27" s="7" t="s">
        <v>43</v>
      </c>
      <c r="D27" s="7" t="s">
        <v>4</v>
      </c>
      <c r="E27" s="7">
        <v>58</v>
      </c>
      <c r="F27" s="7">
        <v>5</v>
      </c>
      <c r="G27" s="82">
        <f>929/10844*58</f>
        <v>4.968830689782368</v>
      </c>
      <c r="H27" s="7">
        <v>1</v>
      </c>
      <c r="I27" s="108"/>
      <c r="J27" s="41"/>
      <c r="K27" s="50"/>
      <c r="L27" s="7"/>
      <c r="M27" s="124">
        <f t="shared" si="2"/>
        <v>6</v>
      </c>
    </row>
    <row r="28" spans="1:13" ht="15" customHeight="1">
      <c r="A28" s="138"/>
      <c r="B28" s="5">
        <v>8</v>
      </c>
      <c r="C28" s="7" t="s">
        <v>46</v>
      </c>
      <c r="D28" s="7" t="s">
        <v>3</v>
      </c>
      <c r="E28" s="7">
        <v>8</v>
      </c>
      <c r="F28" s="7">
        <v>1</v>
      </c>
      <c r="G28" s="82">
        <f>929/10844*8</f>
        <v>0.6853559572113611</v>
      </c>
      <c r="H28" s="7">
        <v>1</v>
      </c>
      <c r="I28" s="108">
        <v>1</v>
      </c>
      <c r="J28" s="41"/>
      <c r="K28" s="50"/>
      <c r="L28" s="7"/>
      <c r="M28" s="124">
        <f t="shared" si="2"/>
        <v>3</v>
      </c>
    </row>
    <row r="29" spans="1:13" ht="15" customHeight="1">
      <c r="A29" s="138"/>
      <c r="B29" s="5">
        <v>9</v>
      </c>
      <c r="C29" s="7" t="s">
        <v>49</v>
      </c>
      <c r="D29" s="7" t="s">
        <v>121</v>
      </c>
      <c r="E29" s="7">
        <v>111</v>
      </c>
      <c r="F29" s="7">
        <v>9</v>
      </c>
      <c r="G29" s="89">
        <f>929/10844*111</f>
        <v>9.509313906307636</v>
      </c>
      <c r="H29" s="7">
        <v>1</v>
      </c>
      <c r="I29" s="108"/>
      <c r="J29" s="41"/>
      <c r="K29" s="50"/>
      <c r="L29" s="7"/>
      <c r="M29" s="124">
        <f t="shared" si="2"/>
        <v>10</v>
      </c>
    </row>
    <row r="30" spans="1:13" ht="15" customHeight="1">
      <c r="A30" s="138"/>
      <c r="B30" s="5">
        <v>10</v>
      </c>
      <c r="C30" s="7" t="s">
        <v>50</v>
      </c>
      <c r="D30" s="7" t="s">
        <v>74</v>
      </c>
      <c r="E30" s="7">
        <v>139</v>
      </c>
      <c r="F30" s="7">
        <v>12</v>
      </c>
      <c r="G30" s="82">
        <f>929/10844*139</f>
        <v>11.908059756547399</v>
      </c>
      <c r="H30" s="7">
        <v>1</v>
      </c>
      <c r="I30" s="108"/>
      <c r="J30" s="41"/>
      <c r="K30" s="50"/>
      <c r="L30" s="7"/>
      <c r="M30" s="124">
        <f t="shared" si="2"/>
        <v>13</v>
      </c>
    </row>
    <row r="31" spans="1:13" ht="15" customHeight="1">
      <c r="A31" s="138"/>
      <c r="B31" s="5">
        <v>11</v>
      </c>
      <c r="C31" s="7" t="s">
        <v>51</v>
      </c>
      <c r="D31" s="7" t="s">
        <v>66</v>
      </c>
      <c r="E31" s="7">
        <v>73</v>
      </c>
      <c r="F31" s="7">
        <v>6</v>
      </c>
      <c r="G31" s="82">
        <f>929/10844*73</f>
        <v>6.25387310955367</v>
      </c>
      <c r="H31" s="7">
        <v>2</v>
      </c>
      <c r="I31" s="108"/>
      <c r="J31" s="41"/>
      <c r="K31" s="50"/>
      <c r="L31" s="7"/>
      <c r="M31" s="124">
        <f t="shared" si="2"/>
        <v>8</v>
      </c>
    </row>
    <row r="32" spans="1:13" ht="15" customHeight="1">
      <c r="A32" s="138"/>
      <c r="B32" s="5">
        <v>12</v>
      </c>
      <c r="C32" s="7" t="s">
        <v>54</v>
      </c>
      <c r="D32" s="7" t="s">
        <v>1</v>
      </c>
      <c r="E32" s="7">
        <v>42</v>
      </c>
      <c r="F32" s="7">
        <v>4</v>
      </c>
      <c r="G32" s="82">
        <f>929/10844*42</f>
        <v>3.5981187753596457</v>
      </c>
      <c r="H32" s="7">
        <v>1</v>
      </c>
      <c r="I32" s="108"/>
      <c r="J32" s="41"/>
      <c r="K32" s="50"/>
      <c r="L32" s="7"/>
      <c r="M32" s="124">
        <f t="shared" si="2"/>
        <v>5</v>
      </c>
    </row>
    <row r="33" spans="1:13" ht="15" customHeight="1">
      <c r="A33" s="138"/>
      <c r="B33" s="5">
        <v>13</v>
      </c>
      <c r="C33" s="9" t="s">
        <v>55</v>
      </c>
      <c r="D33" s="6" t="s">
        <v>0</v>
      </c>
      <c r="E33" s="6">
        <v>142</v>
      </c>
      <c r="F33" s="6">
        <v>12</v>
      </c>
      <c r="G33" s="82">
        <f>929/10844*142</f>
        <v>12.16506824050166</v>
      </c>
      <c r="H33" s="6">
        <v>2</v>
      </c>
      <c r="I33" s="108"/>
      <c r="J33" s="42"/>
      <c r="K33" s="50"/>
      <c r="L33" s="6"/>
      <c r="M33" s="124">
        <f t="shared" si="2"/>
        <v>14</v>
      </c>
    </row>
    <row r="34" spans="1:13" ht="15" customHeight="1">
      <c r="A34" s="138"/>
      <c r="B34" s="5">
        <v>14</v>
      </c>
      <c r="C34" s="9" t="s">
        <v>56</v>
      </c>
      <c r="D34" s="6" t="s">
        <v>122</v>
      </c>
      <c r="E34" s="6">
        <v>42</v>
      </c>
      <c r="F34" s="6">
        <v>4</v>
      </c>
      <c r="G34" s="82">
        <f>929/10844*42</f>
        <v>3.5981187753596457</v>
      </c>
      <c r="H34" s="6">
        <v>1</v>
      </c>
      <c r="I34" s="108"/>
      <c r="J34" s="42"/>
      <c r="K34" s="50"/>
      <c r="L34" s="6"/>
      <c r="M34" s="124">
        <f t="shared" si="2"/>
        <v>5</v>
      </c>
    </row>
    <row r="35" spans="1:13" ht="15" customHeight="1">
      <c r="A35" s="138"/>
      <c r="B35" s="8">
        <v>15</v>
      </c>
      <c r="C35" s="10" t="s">
        <v>64</v>
      </c>
      <c r="D35" s="11" t="s">
        <v>65</v>
      </c>
      <c r="E35" s="11">
        <v>44</v>
      </c>
      <c r="F35" s="11">
        <v>4</v>
      </c>
      <c r="G35" s="82">
        <f>929/10844*44</f>
        <v>3.7694577646624863</v>
      </c>
      <c r="H35" s="11">
        <v>1</v>
      </c>
      <c r="I35" s="109"/>
      <c r="J35" s="45"/>
      <c r="K35" s="49"/>
      <c r="L35" s="11"/>
      <c r="M35" s="125">
        <f t="shared" si="2"/>
        <v>5</v>
      </c>
    </row>
    <row r="36" spans="1:13" ht="15" customHeight="1">
      <c r="A36" s="139"/>
      <c r="B36" s="24"/>
      <c r="C36" s="25"/>
      <c r="D36" s="26" t="s">
        <v>91</v>
      </c>
      <c r="E36" s="21">
        <f aca="true" t="shared" si="3" ref="E36:L36">SUM(E21:E35)</f>
        <v>1836</v>
      </c>
      <c r="F36" s="22">
        <f t="shared" si="3"/>
        <v>157</v>
      </c>
      <c r="G36" s="84">
        <f t="shared" si="3"/>
        <v>157.28919218000735</v>
      </c>
      <c r="H36" s="21">
        <f t="shared" si="3"/>
        <v>29</v>
      </c>
      <c r="I36" s="111">
        <f t="shared" si="3"/>
        <v>2</v>
      </c>
      <c r="J36" s="21">
        <f t="shared" si="3"/>
        <v>0</v>
      </c>
      <c r="K36" s="21">
        <f t="shared" si="3"/>
        <v>0</v>
      </c>
      <c r="L36" s="21">
        <f t="shared" si="3"/>
        <v>0</v>
      </c>
      <c r="M36" s="126">
        <f>SUM(M21:M35)</f>
        <v>188</v>
      </c>
    </row>
    <row r="37" spans="1:13" ht="15" customHeight="1">
      <c r="A37" s="150" t="s">
        <v>78</v>
      </c>
      <c r="B37" s="63">
        <v>1</v>
      </c>
      <c r="C37" s="64" t="s">
        <v>81</v>
      </c>
      <c r="D37" s="65" t="s">
        <v>69</v>
      </c>
      <c r="E37" s="99">
        <v>1290</v>
      </c>
      <c r="F37" s="90">
        <v>110</v>
      </c>
      <c r="G37" s="89">
        <f>929/10844*1290</f>
        <v>110.51364810033198</v>
      </c>
      <c r="H37" s="64">
        <v>10</v>
      </c>
      <c r="I37" s="112"/>
      <c r="J37" s="64">
        <v>76</v>
      </c>
      <c r="K37" s="85">
        <f>199/3395*1290</f>
        <v>75.6141384388807</v>
      </c>
      <c r="L37" s="105">
        <v>35</v>
      </c>
      <c r="M37" s="127">
        <v>231</v>
      </c>
    </row>
    <row r="38" spans="1:13" ht="15" customHeight="1">
      <c r="A38" s="151"/>
      <c r="B38" s="66">
        <v>2</v>
      </c>
      <c r="C38" s="67" t="s">
        <v>19</v>
      </c>
      <c r="D38" s="68" t="s">
        <v>80</v>
      </c>
      <c r="E38" s="69">
        <v>476</v>
      </c>
      <c r="F38" s="69">
        <v>41</v>
      </c>
      <c r="G38" s="85">
        <f>929/10844*476</f>
        <v>40.778679454075984</v>
      </c>
      <c r="H38" s="67">
        <v>5</v>
      </c>
      <c r="I38" s="113"/>
      <c r="J38" s="102">
        <v>28</v>
      </c>
      <c r="K38" s="101">
        <f>199/3395*476</f>
        <v>27.901030927835052</v>
      </c>
      <c r="L38" s="104"/>
      <c r="M38" s="128">
        <f t="shared" si="2"/>
        <v>74</v>
      </c>
    </row>
    <row r="39" spans="1:13" ht="15" customHeight="1">
      <c r="A39" s="151"/>
      <c r="B39" s="66">
        <v>3</v>
      </c>
      <c r="C39" s="69" t="s">
        <v>30</v>
      </c>
      <c r="D39" s="68" t="s">
        <v>7</v>
      </c>
      <c r="E39" s="71">
        <v>1027</v>
      </c>
      <c r="F39" s="69">
        <v>88</v>
      </c>
      <c r="G39" s="85">
        <f>929/10844*1027</f>
        <v>87.98257100700849</v>
      </c>
      <c r="H39" s="67">
        <v>9</v>
      </c>
      <c r="I39" s="113"/>
      <c r="J39" s="67">
        <v>60</v>
      </c>
      <c r="K39" s="70">
        <f>199/3395*1027</f>
        <v>60.198232695139914</v>
      </c>
      <c r="L39" s="104"/>
      <c r="M39" s="128">
        <f>F39+H39+I39+J39</f>
        <v>157</v>
      </c>
    </row>
    <row r="40" spans="1:13" ht="15" customHeight="1">
      <c r="A40" s="151"/>
      <c r="B40" s="66">
        <v>4</v>
      </c>
      <c r="C40" s="69" t="s">
        <v>35</v>
      </c>
      <c r="D40" s="68" t="s">
        <v>71</v>
      </c>
      <c r="E40" s="69">
        <v>115</v>
      </c>
      <c r="F40" s="69">
        <v>10</v>
      </c>
      <c r="G40" s="85">
        <f>929/10844*115</f>
        <v>9.851991884913316</v>
      </c>
      <c r="H40" s="67">
        <v>1</v>
      </c>
      <c r="I40" s="113"/>
      <c r="J40" s="67">
        <v>7</v>
      </c>
      <c r="K40" s="70">
        <f>199/3395*115</f>
        <v>6.74079528718704</v>
      </c>
      <c r="L40" s="104"/>
      <c r="M40" s="128">
        <f t="shared" si="2"/>
        <v>18</v>
      </c>
    </row>
    <row r="41" spans="1:13" ht="15" customHeight="1">
      <c r="A41" s="151"/>
      <c r="B41" s="66">
        <v>5</v>
      </c>
      <c r="C41" s="69" t="s">
        <v>41</v>
      </c>
      <c r="D41" s="68" t="s">
        <v>5</v>
      </c>
      <c r="E41" s="69">
        <v>138</v>
      </c>
      <c r="F41" s="69">
        <v>12</v>
      </c>
      <c r="G41" s="85">
        <f>929/10844*138</f>
        <v>11.822390261895979</v>
      </c>
      <c r="H41" s="67">
        <v>4</v>
      </c>
      <c r="I41" s="113"/>
      <c r="J41" s="67">
        <v>8</v>
      </c>
      <c r="K41" s="70">
        <f>199/3395*138</f>
        <v>8.088954344624447</v>
      </c>
      <c r="L41" s="104"/>
      <c r="M41" s="128">
        <f t="shared" si="2"/>
        <v>24</v>
      </c>
    </row>
    <row r="42" spans="1:13" ht="15" customHeight="1">
      <c r="A42" s="151"/>
      <c r="B42" s="66">
        <v>6</v>
      </c>
      <c r="C42" s="69" t="s">
        <v>44</v>
      </c>
      <c r="D42" s="68" t="s">
        <v>61</v>
      </c>
      <c r="E42" s="69">
        <v>107</v>
      </c>
      <c r="F42" s="69">
        <v>9</v>
      </c>
      <c r="G42" s="85">
        <f>929/10844*107</f>
        <v>9.166635927701956</v>
      </c>
      <c r="H42" s="67">
        <v>1</v>
      </c>
      <c r="I42" s="113"/>
      <c r="J42" s="67">
        <v>6</v>
      </c>
      <c r="K42" s="70">
        <f>199/3395*107</f>
        <v>6.271870397643593</v>
      </c>
      <c r="L42" s="104"/>
      <c r="M42" s="128">
        <f t="shared" si="2"/>
        <v>16</v>
      </c>
    </row>
    <row r="43" spans="1:13" ht="15" customHeight="1">
      <c r="A43" s="151"/>
      <c r="B43" s="66">
        <v>7</v>
      </c>
      <c r="C43" s="69" t="s">
        <v>45</v>
      </c>
      <c r="D43" s="68" t="s">
        <v>97</v>
      </c>
      <c r="E43" s="69">
        <v>126</v>
      </c>
      <c r="F43" s="69">
        <v>11</v>
      </c>
      <c r="G43" s="85">
        <f>929/10844*126</f>
        <v>10.794356326078937</v>
      </c>
      <c r="H43" s="67">
        <v>2</v>
      </c>
      <c r="I43" s="113"/>
      <c r="J43" s="67">
        <v>8</v>
      </c>
      <c r="K43" s="97">
        <f>199/3395*126</f>
        <v>7.385567010309279</v>
      </c>
      <c r="L43" s="104"/>
      <c r="M43" s="128">
        <f t="shared" si="2"/>
        <v>21</v>
      </c>
    </row>
    <row r="44" spans="1:13" ht="15" customHeight="1">
      <c r="A44" s="151"/>
      <c r="B44" s="66">
        <v>8</v>
      </c>
      <c r="C44" s="69" t="s">
        <v>47</v>
      </c>
      <c r="D44" s="68" t="s">
        <v>73</v>
      </c>
      <c r="E44" s="69">
        <v>55</v>
      </c>
      <c r="F44" s="69">
        <v>5</v>
      </c>
      <c r="G44" s="85">
        <f>929/10844*55</f>
        <v>4.711822205828108</v>
      </c>
      <c r="H44" s="67">
        <v>1</v>
      </c>
      <c r="I44" s="113"/>
      <c r="J44" s="67">
        <v>3</v>
      </c>
      <c r="K44" s="70">
        <f>199/3395*55</f>
        <v>3.223858615611193</v>
      </c>
      <c r="L44" s="104"/>
      <c r="M44" s="128">
        <f t="shared" si="2"/>
        <v>9</v>
      </c>
    </row>
    <row r="45" spans="1:13" ht="15" customHeight="1">
      <c r="A45" s="151"/>
      <c r="B45" s="72">
        <v>9</v>
      </c>
      <c r="C45" s="69" t="s">
        <v>53</v>
      </c>
      <c r="D45" s="68" t="s">
        <v>2</v>
      </c>
      <c r="E45" s="69">
        <v>49</v>
      </c>
      <c r="F45" s="69">
        <v>4</v>
      </c>
      <c r="G45" s="85">
        <f>929/10844*49</f>
        <v>4.197805237919587</v>
      </c>
      <c r="H45" s="67">
        <v>1</v>
      </c>
      <c r="I45" s="113"/>
      <c r="J45" s="67">
        <v>3</v>
      </c>
      <c r="K45" s="70">
        <f>199/3395*49</f>
        <v>2.8721649484536083</v>
      </c>
      <c r="L45" s="104"/>
      <c r="M45" s="128">
        <f t="shared" si="2"/>
        <v>8</v>
      </c>
    </row>
    <row r="46" spans="1:13" ht="15" customHeight="1">
      <c r="A46" s="151"/>
      <c r="B46" s="73">
        <v>10</v>
      </c>
      <c r="C46" s="74" t="s">
        <v>105</v>
      </c>
      <c r="D46" s="75" t="s">
        <v>106</v>
      </c>
      <c r="E46" s="74">
        <v>12</v>
      </c>
      <c r="F46" s="74">
        <v>1</v>
      </c>
      <c r="G46" s="86">
        <f>929/10844*12</f>
        <v>1.0280339358170416</v>
      </c>
      <c r="H46" s="88">
        <v>1</v>
      </c>
      <c r="I46" s="114">
        <v>1</v>
      </c>
      <c r="J46" s="88">
        <v>1</v>
      </c>
      <c r="K46" s="103">
        <f>199/3395*12</f>
        <v>0.7033873343151693</v>
      </c>
      <c r="L46" s="100"/>
      <c r="M46" s="129">
        <f t="shared" si="2"/>
        <v>4</v>
      </c>
    </row>
    <row r="47" spans="1:13" ht="15" customHeight="1">
      <c r="A47" s="152"/>
      <c r="B47" s="76"/>
      <c r="C47" s="77"/>
      <c r="D47" s="78" t="s">
        <v>91</v>
      </c>
      <c r="E47" s="79">
        <f aca="true" t="shared" si="4" ref="E47:L47">SUM(E37:E46)</f>
        <v>3395</v>
      </c>
      <c r="F47" s="77">
        <f t="shared" si="4"/>
        <v>291</v>
      </c>
      <c r="G47" s="87">
        <f t="shared" si="4"/>
        <v>290.8479343415714</v>
      </c>
      <c r="H47" s="80">
        <f t="shared" si="4"/>
        <v>35</v>
      </c>
      <c r="I47" s="115">
        <f t="shared" si="4"/>
        <v>1</v>
      </c>
      <c r="J47" s="80">
        <f t="shared" si="4"/>
        <v>200</v>
      </c>
      <c r="K47" s="81">
        <f t="shared" si="4"/>
        <v>199.00000000000003</v>
      </c>
      <c r="L47" s="80">
        <f t="shared" si="4"/>
        <v>35</v>
      </c>
      <c r="M47" s="130">
        <f>SUM(M37:M46)</f>
        <v>562</v>
      </c>
    </row>
    <row r="48" spans="1:13" ht="15" customHeight="1">
      <c r="A48" s="137" t="s">
        <v>79</v>
      </c>
      <c r="B48" s="2">
        <v>1</v>
      </c>
      <c r="C48" s="3" t="s">
        <v>23</v>
      </c>
      <c r="D48" s="4" t="s">
        <v>82</v>
      </c>
      <c r="E48" s="7">
        <v>83</v>
      </c>
      <c r="F48" s="4">
        <v>7</v>
      </c>
      <c r="G48" s="82">
        <f>929/10844*83</f>
        <v>7.110568056067872</v>
      </c>
      <c r="H48" s="6">
        <v>1</v>
      </c>
      <c r="I48" s="107"/>
      <c r="J48" s="20"/>
      <c r="K48" s="31"/>
      <c r="L48" s="46"/>
      <c r="M48" s="123">
        <f>F48+H48+I48+J48</f>
        <v>8</v>
      </c>
    </row>
    <row r="49" spans="1:13" ht="15" customHeight="1">
      <c r="A49" s="138"/>
      <c r="B49" s="5">
        <v>2</v>
      </c>
      <c r="C49" s="7" t="s">
        <v>25</v>
      </c>
      <c r="D49" s="7" t="s">
        <v>57</v>
      </c>
      <c r="E49" s="7">
        <v>629</v>
      </c>
      <c r="F49" s="7">
        <v>54</v>
      </c>
      <c r="G49" s="82">
        <f>929/10844*629</f>
        <v>53.88611213574327</v>
      </c>
      <c r="H49" s="6">
        <v>10</v>
      </c>
      <c r="I49" s="108"/>
      <c r="J49" s="6"/>
      <c r="K49" s="31"/>
      <c r="L49" s="42"/>
      <c r="M49" s="124">
        <f aca="true" t="shared" si="5" ref="M49:M56">F49+H49+I49+J49</f>
        <v>64</v>
      </c>
    </row>
    <row r="50" spans="1:13" ht="15" customHeight="1">
      <c r="A50" s="138"/>
      <c r="B50" s="5">
        <v>3</v>
      </c>
      <c r="C50" s="7" t="s">
        <v>28</v>
      </c>
      <c r="D50" s="7" t="s">
        <v>8</v>
      </c>
      <c r="E50" s="7">
        <v>82</v>
      </c>
      <c r="F50" s="7">
        <v>7</v>
      </c>
      <c r="G50" s="82">
        <f>929/10844*82</f>
        <v>7.024898561416451</v>
      </c>
      <c r="H50" s="6">
        <v>1</v>
      </c>
      <c r="I50" s="108"/>
      <c r="J50" s="6"/>
      <c r="K50" s="31"/>
      <c r="L50" s="42"/>
      <c r="M50" s="124">
        <f>F50+H50+I50+J50</f>
        <v>8</v>
      </c>
    </row>
    <row r="51" spans="1:13" ht="15" customHeight="1">
      <c r="A51" s="138"/>
      <c r="B51" s="5">
        <v>4</v>
      </c>
      <c r="C51" s="7" t="s">
        <v>31</v>
      </c>
      <c r="D51" s="7" t="s">
        <v>98</v>
      </c>
      <c r="E51" s="7">
        <v>712</v>
      </c>
      <c r="F51" s="7">
        <v>61</v>
      </c>
      <c r="G51" s="82">
        <f>929/10844*712</f>
        <v>60.99668019181114</v>
      </c>
      <c r="H51" s="6">
        <v>8</v>
      </c>
      <c r="I51" s="108"/>
      <c r="J51" s="6"/>
      <c r="K51" s="31"/>
      <c r="L51" s="42"/>
      <c r="M51" s="124">
        <f>F51+H51+I51+J51</f>
        <v>69</v>
      </c>
    </row>
    <row r="52" spans="1:13" ht="15" customHeight="1">
      <c r="A52" s="138"/>
      <c r="B52" s="5">
        <v>5</v>
      </c>
      <c r="C52" s="7" t="s">
        <v>37</v>
      </c>
      <c r="D52" s="7" t="s">
        <v>60</v>
      </c>
      <c r="E52" s="7">
        <v>34</v>
      </c>
      <c r="F52" s="7">
        <v>3</v>
      </c>
      <c r="G52" s="82">
        <f>929/10844*34</f>
        <v>2.9127628181482845</v>
      </c>
      <c r="H52" s="6">
        <v>1</v>
      </c>
      <c r="I52" s="108"/>
      <c r="J52" s="6"/>
      <c r="K52" s="31"/>
      <c r="L52" s="42"/>
      <c r="M52" s="124">
        <f t="shared" si="5"/>
        <v>4</v>
      </c>
    </row>
    <row r="53" spans="1:13" ht="15" customHeight="1">
      <c r="A53" s="138"/>
      <c r="B53" s="5">
        <v>6</v>
      </c>
      <c r="C53" s="7" t="s">
        <v>40</v>
      </c>
      <c r="D53" s="7" t="s">
        <v>99</v>
      </c>
      <c r="E53" s="7">
        <v>64</v>
      </c>
      <c r="F53" s="7">
        <v>5</v>
      </c>
      <c r="G53" s="82">
        <f>929/10844*64</f>
        <v>5.482847657690889</v>
      </c>
      <c r="H53" s="6">
        <v>1</v>
      </c>
      <c r="I53" s="108"/>
      <c r="J53" s="6"/>
      <c r="K53" s="31"/>
      <c r="L53" s="42"/>
      <c r="M53" s="124">
        <f t="shared" si="5"/>
        <v>6</v>
      </c>
    </row>
    <row r="54" spans="1:13" ht="15" customHeight="1">
      <c r="A54" s="138"/>
      <c r="B54" s="5">
        <v>7</v>
      </c>
      <c r="C54" s="7" t="s">
        <v>42</v>
      </c>
      <c r="D54" s="7" t="s">
        <v>100</v>
      </c>
      <c r="E54" s="7">
        <v>24</v>
      </c>
      <c r="F54" s="7">
        <v>2</v>
      </c>
      <c r="G54" s="82">
        <f>929/10844*24</f>
        <v>2.056067871634083</v>
      </c>
      <c r="H54" s="6">
        <v>1</v>
      </c>
      <c r="I54" s="108"/>
      <c r="J54" s="6"/>
      <c r="K54" s="31"/>
      <c r="L54" s="42"/>
      <c r="M54" s="124">
        <f t="shared" si="5"/>
        <v>3</v>
      </c>
    </row>
    <row r="55" spans="1:13" ht="15" customHeight="1">
      <c r="A55" s="138"/>
      <c r="B55" s="5">
        <v>8</v>
      </c>
      <c r="C55" s="7" t="s">
        <v>48</v>
      </c>
      <c r="D55" s="7" t="s">
        <v>101</v>
      </c>
      <c r="E55" s="7">
        <v>161</v>
      </c>
      <c r="F55" s="7">
        <v>14</v>
      </c>
      <c r="G55" s="82">
        <f>929/10844*161</f>
        <v>13.792788638878642</v>
      </c>
      <c r="H55" s="6">
        <v>1</v>
      </c>
      <c r="I55" s="108"/>
      <c r="J55" s="6"/>
      <c r="K55" s="32"/>
      <c r="L55" s="42"/>
      <c r="M55" s="124">
        <f t="shared" si="5"/>
        <v>15</v>
      </c>
    </row>
    <row r="56" spans="1:13" ht="15" customHeight="1">
      <c r="A56" s="138"/>
      <c r="B56" s="8">
        <v>9</v>
      </c>
      <c r="C56" s="10" t="s">
        <v>63</v>
      </c>
      <c r="D56" s="11" t="s">
        <v>62</v>
      </c>
      <c r="E56" s="11">
        <v>31</v>
      </c>
      <c r="F56" s="11">
        <v>3</v>
      </c>
      <c r="G56" s="82">
        <f>929/10844*31</f>
        <v>2.6557543341940244</v>
      </c>
      <c r="H56" s="18">
        <v>1</v>
      </c>
      <c r="I56" s="109"/>
      <c r="J56" s="18"/>
      <c r="K56" s="31"/>
      <c r="L56" s="43"/>
      <c r="M56" s="125">
        <f t="shared" si="5"/>
        <v>4</v>
      </c>
    </row>
    <row r="57" spans="1:13" ht="15" customHeight="1">
      <c r="A57" s="139"/>
      <c r="B57" s="24"/>
      <c r="C57" s="25"/>
      <c r="D57" s="26" t="s">
        <v>91</v>
      </c>
      <c r="E57" s="21">
        <f>SUM(E48:E56)</f>
        <v>1820</v>
      </c>
      <c r="F57" s="22">
        <f>SUM(F48:F56)</f>
        <v>156</v>
      </c>
      <c r="G57" s="84">
        <f>SUM(G48:G56)</f>
        <v>155.91848026558463</v>
      </c>
      <c r="H57" s="22">
        <f>SUM(H48:H56)</f>
        <v>25</v>
      </c>
      <c r="I57" s="111">
        <v>0</v>
      </c>
      <c r="J57" s="22">
        <f>SUM(J48:J56)</f>
        <v>0</v>
      </c>
      <c r="K57" s="33">
        <f>SUM(K48:K56)</f>
        <v>0</v>
      </c>
      <c r="L57" s="22">
        <f>SUM(L48:L56)</f>
        <v>0</v>
      </c>
      <c r="M57" s="126">
        <f>SUM(M48:M56)</f>
        <v>181</v>
      </c>
    </row>
    <row r="58" spans="1:13" ht="15" customHeight="1">
      <c r="A58" s="23"/>
      <c r="B58" s="24"/>
      <c r="C58" s="35" t="s">
        <v>90</v>
      </c>
      <c r="D58" s="26" t="s">
        <v>92</v>
      </c>
      <c r="E58" s="27">
        <f aca="true" t="shared" si="6" ref="E58:M58">E20+E36+E47+E57</f>
        <v>10844</v>
      </c>
      <c r="F58" s="27">
        <f t="shared" si="6"/>
        <v>930</v>
      </c>
      <c r="G58" s="27">
        <f t="shared" si="6"/>
        <v>928.9999999999999</v>
      </c>
      <c r="H58" s="27">
        <f t="shared" si="6"/>
        <v>126</v>
      </c>
      <c r="I58" s="106">
        <f t="shared" si="6"/>
        <v>3</v>
      </c>
      <c r="J58" s="27">
        <f t="shared" si="6"/>
        <v>200</v>
      </c>
      <c r="K58" s="27">
        <f t="shared" si="6"/>
        <v>199.00000000000003</v>
      </c>
      <c r="L58" s="27">
        <f t="shared" si="6"/>
        <v>35</v>
      </c>
      <c r="M58" s="131">
        <f t="shared" si="6"/>
        <v>1294</v>
      </c>
    </row>
    <row r="59" spans="1:13" ht="15" customHeight="1">
      <c r="A59" s="28">
        <v>1</v>
      </c>
      <c r="B59" s="141" t="s">
        <v>113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</row>
    <row r="60" spans="1:13" ht="15" customHeight="1">
      <c r="A60" s="28">
        <v>2</v>
      </c>
      <c r="B60" s="136" t="s">
        <v>114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</row>
    <row r="61" spans="1:14" ht="15" customHeight="1">
      <c r="A61" s="28">
        <v>3</v>
      </c>
      <c r="B61" s="136" t="s">
        <v>117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47"/>
    </row>
    <row r="62" spans="1:13" ht="15" customHeight="1">
      <c r="A62" s="28">
        <v>4</v>
      </c>
      <c r="B62" s="136" t="s">
        <v>115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2"/>
    </row>
    <row r="63" spans="1:13" ht="15" customHeight="1">
      <c r="A63" s="28">
        <v>5</v>
      </c>
      <c r="B63" s="136" t="s">
        <v>116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</row>
    <row r="64" spans="1:13" ht="13.5" customHeight="1">
      <c r="A64" s="28"/>
      <c r="B64" s="34"/>
      <c r="C64" s="30"/>
      <c r="D64" s="30"/>
      <c r="E64" s="30"/>
      <c r="F64" s="37"/>
      <c r="G64" s="37"/>
      <c r="H64" s="30"/>
      <c r="I64" s="98"/>
      <c r="J64" s="37"/>
      <c r="K64" s="37"/>
      <c r="L64" s="30"/>
      <c r="M64" s="132"/>
    </row>
    <row r="65" spans="1:13" ht="15.75" customHeight="1">
      <c r="A65" s="28"/>
      <c r="B65" s="29"/>
      <c r="C65" s="15"/>
      <c r="D65" s="19"/>
      <c r="E65" s="12"/>
      <c r="F65" s="12"/>
      <c r="G65" s="12"/>
      <c r="H65" s="17"/>
      <c r="I65" s="17"/>
      <c r="J65" s="17"/>
      <c r="K65" s="17"/>
      <c r="L65" s="17"/>
      <c r="M65" s="133"/>
    </row>
    <row r="66" spans="1:13" ht="15.75" customHeight="1">
      <c r="A66" s="28"/>
      <c r="B66" s="14"/>
      <c r="C66" s="15"/>
      <c r="D66" s="16"/>
      <c r="E66" s="16"/>
      <c r="F66" s="16"/>
      <c r="G66" s="16"/>
      <c r="H66" s="17"/>
      <c r="I66" s="17"/>
      <c r="J66" s="17"/>
      <c r="K66" s="17"/>
      <c r="L66" s="17"/>
      <c r="M66" s="133"/>
    </row>
    <row r="67" spans="1:13" ht="15.75" customHeight="1">
      <c r="A67" s="28"/>
      <c r="B67" s="14"/>
      <c r="C67" s="15"/>
      <c r="D67" s="16"/>
      <c r="E67" s="16"/>
      <c r="F67" s="16"/>
      <c r="G67" s="16"/>
      <c r="H67" s="17"/>
      <c r="I67" s="17"/>
      <c r="J67" s="17"/>
      <c r="K67" s="17"/>
      <c r="L67" s="17"/>
      <c r="M67" s="133"/>
    </row>
    <row r="68" spans="1:3" ht="21.75" customHeight="1">
      <c r="A68" s="12"/>
      <c r="B68" s="12"/>
      <c r="C68" s="12"/>
    </row>
    <row r="85" spans="15:19" ht="16.5" customHeight="1">
      <c r="O85" s="1"/>
      <c r="P85" s="1"/>
      <c r="Q85" s="1"/>
      <c r="R85" s="1"/>
      <c r="S85" s="1"/>
    </row>
    <row r="86" spans="4:19" ht="16.5" customHeight="1">
      <c r="D86" s="1"/>
      <c r="O86" s="1"/>
      <c r="P86" s="1"/>
      <c r="Q86" s="1"/>
      <c r="R86" s="1"/>
      <c r="S86" s="1"/>
    </row>
    <row r="87" spans="15:19" ht="16.5" customHeight="1">
      <c r="O87" s="1"/>
      <c r="P87" s="1"/>
      <c r="Q87" s="1"/>
      <c r="R87" s="1"/>
      <c r="S87" s="1"/>
    </row>
  </sheetData>
  <sheetProtection/>
  <mergeCells count="20">
    <mergeCell ref="F3:F4"/>
    <mergeCell ref="A1:M1"/>
    <mergeCell ref="A2:M2"/>
    <mergeCell ref="B62:L62"/>
    <mergeCell ref="B60:M60"/>
    <mergeCell ref="E3:E4"/>
    <mergeCell ref="A37:A47"/>
    <mergeCell ref="H3:H4"/>
    <mergeCell ref="G3:G4"/>
    <mergeCell ref="M3:M4"/>
    <mergeCell ref="I3:I4"/>
    <mergeCell ref="B63:M63"/>
    <mergeCell ref="B61:M61"/>
    <mergeCell ref="A5:A20"/>
    <mergeCell ref="C3:C4"/>
    <mergeCell ref="A48:A57"/>
    <mergeCell ref="B59:M59"/>
    <mergeCell ref="A21:A36"/>
    <mergeCell ref="D3:D4"/>
    <mergeCell ref="A3:B4"/>
  </mergeCells>
  <printOptions/>
  <pageMargins left="0.47" right="0.32" top="0.35" bottom="0.25" header="0.11811023622047245" footer="0.23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iwadate masao</dc:creator>
  <cp:keywords/>
  <dc:description/>
  <cp:lastModifiedBy>荒木郷兵</cp:lastModifiedBy>
  <cp:lastPrinted>2019-01-26T09:37:18Z</cp:lastPrinted>
  <dcterms:created xsi:type="dcterms:W3CDTF">2010-09-20T21:56:57Z</dcterms:created>
  <dcterms:modified xsi:type="dcterms:W3CDTF">2019-03-27T06:21:53Z</dcterms:modified>
  <cp:category/>
  <cp:version/>
  <cp:contentType/>
  <cp:contentStatus/>
</cp:coreProperties>
</file>